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325" windowHeight="10020" activeTab="0"/>
  </bookViews>
  <sheets>
    <sheet name="TVの計算" sheetId="1" r:id="rId1"/>
    <sheet name="矢印の重み付けマトリクス" sheetId="2" r:id="rId2"/>
  </sheets>
  <definedNames>
    <definedName name="_xlnm.Print_Area" localSheetId="0">'TVの計算'!$A$1:$Z$35</definedName>
  </definedNames>
  <calcPr fullCalcOnLoad="1"/>
</workbook>
</file>

<file path=xl/sharedStrings.xml><?xml version="1.0" encoding="utf-8"?>
<sst xmlns="http://schemas.openxmlformats.org/spreadsheetml/2006/main" count="107" uniqueCount="51">
  <si>
    <t>脆弱性</t>
  </si>
  <si>
    <t>ブラックハット</t>
  </si>
  <si>
    <t>社会情勢</t>
  </si>
  <si>
    <t>開発ベンダ</t>
  </si>
  <si>
    <t>攻撃主体</t>
  </si>
  <si>
    <t>資産</t>
  </si>
  <si>
    <t>フィックス</t>
  </si>
  <si>
    <t>攻撃</t>
  </si>
  <si>
    <t>固有値</t>
  </si>
  <si>
    <t>インプット合計</t>
  </si>
  <si>
    <t>アウトプット基準値</t>
  </si>
  <si>
    <t>有無</t>
  </si>
  <si>
    <t>重み係数</t>
  </si>
  <si>
    <t>Z</t>
  </si>
  <si>
    <t>市場占有率</t>
  </si>
  <si>
    <t>度合</t>
  </si>
  <si>
    <t>ブラックハット</t>
  </si>
  <si>
    <t>フィックス</t>
  </si>
  <si>
    <t>Source</t>
  </si>
  <si>
    <t>Destination</t>
  </si>
  <si>
    <t>対策</t>
  </si>
  <si>
    <t>ネットワークのセキュリティ状況（ISC）</t>
  </si>
  <si>
    <t>ネットワークのトラフィック状況（ITR）</t>
  </si>
  <si>
    <t>世の中の一般的安全状況（DHS）</t>
  </si>
  <si>
    <t>到達オブジェクトの特性</t>
  </si>
  <si>
    <t>矢印の特性</t>
  </si>
  <si>
    <t>MAX</t>
  </si>
  <si>
    <t>100点換算</t>
  </si>
  <si>
    <t>比率</t>
  </si>
  <si>
    <t>1stステージ</t>
  </si>
  <si>
    <t>2ndステージ</t>
  </si>
  <si>
    <t>3rdステージ</t>
  </si>
  <si>
    <t>管理者権限奪取可能</t>
  </si>
  <si>
    <t>リモートからの認証なし利用可能</t>
  </si>
  <si>
    <t>フィックス</t>
  </si>
  <si>
    <t>ブラックハット</t>
  </si>
  <si>
    <t>差引</t>
  </si>
  <si>
    <t>攻撃から</t>
  </si>
  <si>
    <t>対策から</t>
  </si>
  <si>
    <t>属性総和MAX</t>
  </si>
  <si>
    <t>インパクト</t>
  </si>
  <si>
    <t>定期的なパッチ提供がない</t>
  </si>
  <si>
    <t>パッチ自動配布機能がない</t>
  </si>
  <si>
    <t>(ベース）</t>
  </si>
  <si>
    <t>MIN</t>
  </si>
  <si>
    <t>MAX-MIN</t>
  </si>
  <si>
    <t>パーセンテージ</t>
  </si>
  <si>
    <t>寄与度</t>
  </si>
  <si>
    <t>パッチが存在する</t>
  </si>
  <si>
    <t>攻撃用ツール</t>
  </si>
  <si>
    <t>TV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</si>
</sst>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right" vertical="center"/>
    </xf>
    <xf numFmtId="0" fontId="0" fillId="12" borderId="3" xfId="0" applyFill="1" applyBorder="1" applyAlignment="1">
      <alignment horizontal="right" vertical="center"/>
    </xf>
    <xf numFmtId="0" fontId="0" fillId="13" borderId="1" xfId="0" applyFill="1" applyBorder="1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0" fontId="0" fillId="12" borderId="1" xfId="0" applyFill="1" applyBorder="1" applyAlignment="1">
      <alignment horizontal="right" vertical="center"/>
    </xf>
    <xf numFmtId="0" fontId="0" fillId="11" borderId="1" xfId="0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3" borderId="1" xfId="0" applyFill="1" applyBorder="1" applyAlignment="1" applyProtection="1">
      <alignment vertical="center"/>
      <protection/>
    </xf>
    <xf numFmtId="0" fontId="4" fillId="15" borderId="1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10" fontId="0" fillId="16" borderId="0" xfId="0" applyNumberFormat="1" applyFill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vertical="center" wrapText="1"/>
    </xf>
    <xf numFmtId="0" fontId="5" fillId="13" borderId="3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104775</xdr:rowOff>
    </xdr:from>
    <xdr:to>
      <xdr:col>25</xdr:col>
      <xdr:colOff>533400</xdr:colOff>
      <xdr:row>6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6305550" y="619125"/>
          <a:ext cx="962025" cy="1266825"/>
        </a:xfrm>
        <a:prstGeom prst="wedgeRectCallout">
          <a:avLst>
            <a:gd name="adj1" fmla="val -58912"/>
            <a:gd name="adj2" fmla="val 31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0- 20 : 0
20- 40 : 1
40- 60 : 2
60- 80 : 3
80-100 : 4</a:t>
          </a:r>
        </a:p>
      </xdr:txBody>
    </xdr:sp>
    <xdr:clientData/>
  </xdr:twoCellAnchor>
  <xdr:twoCellAnchor editAs="oneCell">
    <xdr:from>
      <xdr:col>1</xdr:col>
      <xdr:colOff>438150</xdr:colOff>
      <xdr:row>13</xdr:row>
      <xdr:rowOff>38100</xdr:rowOff>
    </xdr:from>
    <xdr:to>
      <xdr:col>13</xdr:col>
      <xdr:colOff>57150</xdr:colOff>
      <xdr:row>34</xdr:row>
      <xdr:rowOff>152400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14700"/>
          <a:ext cx="4981575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31</xdr:row>
      <xdr:rowOff>152400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638175" y="5476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9525</xdr:rowOff>
    </xdr:from>
    <xdr:ext cx="85725" cy="219075"/>
    <xdr:sp>
      <xdr:nvSpPr>
        <xdr:cNvPr id="2" name="TextBox 2"/>
        <xdr:cNvSpPr txBox="1">
          <a:spLocks noChangeArrowheads="1"/>
        </xdr:cNvSpPr>
      </xdr:nvSpPr>
      <xdr:spPr>
        <a:xfrm>
          <a:off x="55245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7"/>
  <sheetViews>
    <sheetView tabSelected="1" zoomScale="85" zoomScaleNormal="85" workbookViewId="0" topLeftCell="A1">
      <selection activeCell="A13" sqref="A13"/>
    </sheetView>
  </sheetViews>
  <sheetFormatPr defaultColWidth="9.00390625" defaultRowHeight="13.5"/>
  <cols>
    <col min="2" max="2" width="13.625" style="7" customWidth="1"/>
    <col min="3" max="3" width="5.25390625" style="7" customWidth="1"/>
    <col min="4" max="4" width="8.75390625" style="0" hidden="1" customWidth="1"/>
    <col min="5" max="5" width="3.25390625" style="0" customWidth="1"/>
    <col min="6" max="6" width="15.75390625" style="0" customWidth="1"/>
    <col min="7" max="7" width="5.625" style="0" customWidth="1"/>
    <col min="8" max="8" width="14.00390625" style="0" hidden="1" customWidth="1"/>
    <col min="9" max="9" width="8.875" style="0" customWidth="1"/>
    <col min="10" max="10" width="2.25390625" style="0" customWidth="1"/>
    <col min="11" max="11" width="11.25390625" style="0" customWidth="1"/>
    <col min="12" max="12" width="4.50390625" style="0" customWidth="1"/>
    <col min="13" max="13" width="0" style="0" hidden="1" customWidth="1"/>
    <col min="15" max="16" width="9.00390625" style="0" hidden="1" customWidth="1"/>
    <col min="17" max="21" width="2.625" style="0" hidden="1" customWidth="1"/>
    <col min="22" max="22" width="9.00390625" style="0" hidden="1" customWidth="1"/>
    <col min="23" max="25" width="3.625" style="0" hidden="1" customWidth="1"/>
  </cols>
  <sheetData>
    <row r="2" spans="2:11" ht="13.5" customHeight="1">
      <c r="B2" s="50" t="s">
        <v>0</v>
      </c>
      <c r="F2" s="52" t="s">
        <v>2</v>
      </c>
      <c r="K2" s="54" t="s">
        <v>3</v>
      </c>
    </row>
    <row r="3" spans="2:13" ht="13.5" customHeight="1">
      <c r="B3" s="51"/>
      <c r="C3" s="12" t="s">
        <v>11</v>
      </c>
      <c r="D3" s="10" t="s">
        <v>12</v>
      </c>
      <c r="F3" s="53"/>
      <c r="G3" s="10" t="s">
        <v>15</v>
      </c>
      <c r="H3" s="10" t="s">
        <v>12</v>
      </c>
      <c r="K3" s="55"/>
      <c r="L3" s="10" t="s">
        <v>15</v>
      </c>
      <c r="M3" s="10" t="s">
        <v>12</v>
      </c>
    </row>
    <row r="4" spans="2:13" ht="40.5">
      <c r="B4" s="8" t="s">
        <v>32</v>
      </c>
      <c r="C4" s="13">
        <v>0</v>
      </c>
      <c r="D4" s="6">
        <v>2</v>
      </c>
      <c r="F4" s="8" t="s">
        <v>21</v>
      </c>
      <c r="G4" s="13">
        <v>0</v>
      </c>
      <c r="H4" s="6">
        <v>0.3333</v>
      </c>
      <c r="K4" s="8" t="s">
        <v>41</v>
      </c>
      <c r="L4" s="13">
        <v>1</v>
      </c>
      <c r="M4" s="6">
        <v>2</v>
      </c>
    </row>
    <row r="5" spans="2:13" ht="40.5">
      <c r="B5" s="8" t="s">
        <v>33</v>
      </c>
      <c r="C5" s="13">
        <v>0</v>
      </c>
      <c r="D5" s="6">
        <v>2</v>
      </c>
      <c r="F5" s="8" t="s">
        <v>22</v>
      </c>
      <c r="G5" s="13">
        <v>0</v>
      </c>
      <c r="H5" s="6">
        <v>0.5</v>
      </c>
      <c r="K5" s="8" t="s">
        <v>42</v>
      </c>
      <c r="L5" s="13">
        <v>1</v>
      </c>
      <c r="M5" s="6">
        <v>2</v>
      </c>
    </row>
    <row r="6" spans="2:13" ht="27">
      <c r="B6" s="8" t="s">
        <v>43</v>
      </c>
      <c r="C6" s="13">
        <v>1</v>
      </c>
      <c r="D6" s="6">
        <v>1</v>
      </c>
      <c r="F6" s="8" t="s">
        <v>23</v>
      </c>
      <c r="G6" s="13">
        <v>0</v>
      </c>
      <c r="H6" s="6">
        <v>0.25</v>
      </c>
      <c r="K6" s="8" t="s">
        <v>14</v>
      </c>
      <c r="L6" s="13">
        <v>0</v>
      </c>
      <c r="M6" s="6">
        <v>0.25</v>
      </c>
    </row>
    <row r="7" spans="2:13" ht="13.5" customHeight="1">
      <c r="B7" s="46" t="s">
        <v>8</v>
      </c>
      <c r="C7" s="46">
        <f>SUMPRODUCT(C4:C6,D4:D6)</f>
        <v>1</v>
      </c>
      <c r="D7" s="11"/>
      <c r="F7" s="46" t="s">
        <v>8</v>
      </c>
      <c r="G7" s="46">
        <f>SUMPRODUCT(G4:G6,H4:H6)</f>
        <v>0</v>
      </c>
      <c r="H7" s="11"/>
      <c r="K7" s="46" t="s">
        <v>8</v>
      </c>
      <c r="L7" s="46">
        <f>SUMPRODUCT(L4:L6,M4:M6)</f>
        <v>4</v>
      </c>
      <c r="M7" s="11"/>
    </row>
    <row r="8" ht="13.5" customHeight="1"/>
    <row r="9" spans="2:11" ht="13.5" customHeight="1">
      <c r="B9" s="50" t="s">
        <v>4</v>
      </c>
      <c r="K9" s="54" t="s">
        <v>17</v>
      </c>
    </row>
    <row r="10" spans="2:13" ht="13.5" customHeight="1">
      <c r="B10" s="51"/>
      <c r="C10" s="12"/>
      <c r="D10" s="10" t="s">
        <v>12</v>
      </c>
      <c r="F10" s="57" t="s">
        <v>50</v>
      </c>
      <c r="G10" s="59">
        <f>'矢印の重み付けマトリクス'!W16</f>
        <v>24.29696</v>
      </c>
      <c r="H10" s="59"/>
      <c r="I10" s="60"/>
      <c r="K10" s="55"/>
      <c r="L10" s="10"/>
      <c r="M10" s="10" t="s">
        <v>12</v>
      </c>
    </row>
    <row r="11" spans="2:13" ht="28.5" customHeight="1">
      <c r="B11" s="48" t="s">
        <v>49</v>
      </c>
      <c r="C11" s="49"/>
      <c r="D11" s="6">
        <f>IF(B11="人手",3,IF(B11="攻撃用ツール",21,45))</f>
        <v>21</v>
      </c>
      <c r="F11" s="58"/>
      <c r="G11" s="61"/>
      <c r="H11" s="61"/>
      <c r="I11" s="62"/>
      <c r="K11" s="48" t="s">
        <v>48</v>
      </c>
      <c r="L11" s="49"/>
      <c r="M11" s="42">
        <f>IF(K11="ワークアラウンドが存在する",2,IF(K11="パッチが存在する",4,0))</f>
        <v>4</v>
      </c>
    </row>
    <row r="12" spans="2:13" ht="13.5">
      <c r="B12" s="46" t="s">
        <v>8</v>
      </c>
      <c r="C12" s="46">
        <f>D11</f>
        <v>21</v>
      </c>
      <c r="D12" s="6"/>
      <c r="F12" s="36"/>
      <c r="G12" s="35" t="s">
        <v>27</v>
      </c>
      <c r="H12" s="56">
        <f>('矢印の重み付けマトリクス'!W16-'矢印の重み付けマトリクス'!AC13)/'矢印の重み付けマトリクス'!AC14*100</f>
        <v>34.21280215495853</v>
      </c>
      <c r="I12" s="56"/>
      <c r="K12" s="46" t="s">
        <v>8</v>
      </c>
      <c r="L12" s="47">
        <f>M11</f>
        <v>4</v>
      </c>
      <c r="M12" s="6"/>
    </row>
    <row r="13" spans="4:13" ht="13.5">
      <c r="D13" s="11"/>
      <c r="E13" s="9"/>
      <c r="M13" s="6"/>
    </row>
    <row r="14" ht="13.5">
      <c r="M14" s="11"/>
    </row>
    <row r="15" ht="13.5" customHeight="1" hidden="1"/>
    <row r="16" spans="2:3" ht="13.5" customHeight="1" hidden="1">
      <c r="B16" s="13" t="s">
        <v>28</v>
      </c>
      <c r="C16" s="13"/>
    </row>
    <row r="17" spans="2:3" ht="13.5" customHeight="1" hidden="1">
      <c r="B17" s="13" t="s">
        <v>29</v>
      </c>
      <c r="C17" s="13">
        <v>1</v>
      </c>
    </row>
    <row r="18" spans="2:3" ht="13.5" hidden="1">
      <c r="B18" s="13" t="s">
        <v>30</v>
      </c>
      <c r="C18" s="13">
        <v>1</v>
      </c>
    </row>
    <row r="19" spans="2:3" ht="13.5" hidden="1">
      <c r="B19" s="13" t="s">
        <v>31</v>
      </c>
      <c r="C19" s="13">
        <v>1</v>
      </c>
    </row>
    <row r="20" ht="13.5"/>
    <row r="21" ht="13.5"/>
    <row r="22" ht="13.5"/>
    <row r="23" ht="13.5"/>
    <row r="24" ht="13.5"/>
    <row r="25" ht="13.5"/>
    <row r="26" ht="13.5"/>
    <row r="27" ht="13.5"/>
    <row r="28" ht="13.5">
      <c r="W28" t="s">
        <v>26</v>
      </c>
    </row>
    <row r="29" spans="15:23" ht="13.5">
      <c r="O29" t="s">
        <v>0</v>
      </c>
      <c r="P29" t="str">
        <f>'TVの計算'!B4</f>
        <v>管理者権限奪取可能</v>
      </c>
      <c r="Q29">
        <v>0</v>
      </c>
      <c r="R29">
        <v>1</v>
      </c>
      <c r="W29">
        <f>MAX(Q29:U29)</f>
        <v>1</v>
      </c>
    </row>
    <row r="30" spans="16:23" ht="13.5">
      <c r="P30" t="str">
        <f>'TVの計算'!B5</f>
        <v>リモートからの認証なし利用可能</v>
      </c>
      <c r="Q30">
        <v>0</v>
      </c>
      <c r="R30">
        <v>1</v>
      </c>
      <c r="W30">
        <f>MAX(Q30:U30)</f>
        <v>1</v>
      </c>
    </row>
    <row r="31" spans="16:23" ht="13.5">
      <c r="P31" t="str">
        <f>'TVの計算'!B6</f>
        <v>(ベース）</v>
      </c>
      <c r="Q31">
        <v>0</v>
      </c>
      <c r="R31">
        <v>1</v>
      </c>
      <c r="W31">
        <f>MAX(Q31:U31)</f>
        <v>1</v>
      </c>
    </row>
    <row r="32" spans="16:23" ht="13.5">
      <c r="P32" t="e">
        <f>TVの計算!#REF!</f>
        <v>#REF!</v>
      </c>
      <c r="Q32">
        <v>0</v>
      </c>
      <c r="R32">
        <v>1</v>
      </c>
      <c r="W32">
        <f>MAX(Q32:U32)</f>
        <v>1</v>
      </c>
    </row>
    <row r="33" spans="16:23" ht="13.5">
      <c r="P33" t="e">
        <f>TVの計算!#REF!</f>
        <v>#REF!</v>
      </c>
      <c r="Q33">
        <v>0</v>
      </c>
      <c r="R33">
        <v>1</v>
      </c>
      <c r="W33">
        <f>MAX(Q33:U33)</f>
        <v>1</v>
      </c>
    </row>
    <row r="34" spans="16:18" ht="13.5">
      <c r="P34" t="e">
        <f>TVの計算!#REF!</f>
        <v>#REF!</v>
      </c>
      <c r="Q34">
        <v>0</v>
      </c>
      <c r="R34">
        <v>1</v>
      </c>
    </row>
    <row r="35" ht="13.5">
      <c r="X35">
        <f>SUM(W29:W34)</f>
        <v>5</v>
      </c>
    </row>
    <row r="36" spans="15:18" ht="13.5">
      <c r="O36" t="s">
        <v>16</v>
      </c>
      <c r="P36" t="e">
        <f>TVの計算!#REF!</f>
        <v>#REF!</v>
      </c>
      <c r="Q36">
        <v>0</v>
      </c>
      <c r="R36">
        <v>1</v>
      </c>
    </row>
    <row r="37" spans="16:18" ht="13.5">
      <c r="P37" t="e">
        <f>TVの計算!#REF!</f>
        <v>#REF!</v>
      </c>
      <c r="Q37">
        <v>0</v>
      </c>
      <c r="R37">
        <v>1</v>
      </c>
    </row>
    <row r="38" spans="16:18" ht="13.5">
      <c r="P38" t="e">
        <f>TVの計算!#REF!</f>
        <v>#REF!</v>
      </c>
      <c r="Q38">
        <v>0</v>
      </c>
      <c r="R38">
        <v>1</v>
      </c>
    </row>
    <row r="39" spans="16:18" ht="13.5">
      <c r="P39" t="e">
        <f>TVの計算!#REF!</f>
        <v>#REF!</v>
      </c>
      <c r="Q39">
        <v>0</v>
      </c>
      <c r="R39">
        <v>1</v>
      </c>
    </row>
    <row r="40" ht="13.5">
      <c r="X40">
        <f>SUM(W36:W39)</f>
        <v>0</v>
      </c>
    </row>
    <row r="41" spans="15:23" ht="13.5">
      <c r="O41" t="s">
        <v>4</v>
      </c>
      <c r="P41" t="str">
        <f>'TVの計算'!B11</f>
        <v>攻撃用ツール</v>
      </c>
      <c r="Q41">
        <v>0</v>
      </c>
      <c r="R41">
        <v>1</v>
      </c>
      <c r="W41">
        <f>MAX(Q41:U41)</f>
        <v>1</v>
      </c>
    </row>
    <row r="42" spans="16:23" ht="13.5">
      <c r="P42" t="e">
        <f>TVの計算!#REF!</f>
        <v>#REF!</v>
      </c>
      <c r="Q42">
        <v>0</v>
      </c>
      <c r="R42">
        <v>1</v>
      </c>
      <c r="W42">
        <f>MAX(Q42:U42)</f>
        <v>1</v>
      </c>
    </row>
    <row r="43" spans="16:23" ht="13.5">
      <c r="P43" t="e">
        <f>TVの計算!#REF!</f>
        <v>#REF!</v>
      </c>
      <c r="Q43">
        <v>0</v>
      </c>
      <c r="R43">
        <v>1</v>
      </c>
      <c r="W43">
        <f>MAX(Q43:U43)</f>
        <v>1</v>
      </c>
    </row>
    <row r="44" spans="16:18" ht="13.5">
      <c r="P44" t="e">
        <f>TVの計算!#REF!</f>
        <v>#REF!</v>
      </c>
      <c r="Q44">
        <v>0</v>
      </c>
      <c r="R44">
        <v>1</v>
      </c>
    </row>
    <row r="45" ht="13.5">
      <c r="X45">
        <f>SUM(W41:W44)</f>
        <v>3</v>
      </c>
    </row>
    <row r="46" spans="15:23" ht="13.5">
      <c r="O46" t="s">
        <v>7</v>
      </c>
      <c r="P46" t="e">
        <f>TVの計算!#REF!</f>
        <v>#REF!</v>
      </c>
      <c r="Q46">
        <v>0</v>
      </c>
      <c r="R46">
        <v>1</v>
      </c>
      <c r="W46">
        <f>MAX(Q46:U46)</f>
        <v>1</v>
      </c>
    </row>
    <row r="47" spans="16:23" ht="13.5">
      <c r="P47" t="e">
        <f>TVの計算!#REF!</f>
        <v>#REF!</v>
      </c>
      <c r="Q47">
        <v>0</v>
      </c>
      <c r="R47">
        <v>1</v>
      </c>
      <c r="W47">
        <f>MAX(Q47:U47)</f>
        <v>1</v>
      </c>
    </row>
    <row r="48" spans="16:18" ht="13.5">
      <c r="P48" t="e">
        <f>TVの計算!#REF!</f>
        <v>#REF!</v>
      </c>
      <c r="Q48">
        <v>0</v>
      </c>
      <c r="R48">
        <v>1</v>
      </c>
    </row>
    <row r="49" ht="13.5">
      <c r="X49">
        <f>SUM(W46:W48)</f>
        <v>2</v>
      </c>
    </row>
    <row r="50" spans="15:23" ht="13.5">
      <c r="O50" t="s">
        <v>5</v>
      </c>
      <c r="P50" t="e">
        <f>TVの計算!#REF!</f>
        <v>#REF!</v>
      </c>
      <c r="Q50">
        <v>0</v>
      </c>
      <c r="R50">
        <v>1</v>
      </c>
      <c r="W50">
        <f>MAX(Q50:U50)</f>
        <v>1</v>
      </c>
    </row>
    <row r="51" spans="16:23" ht="13.5">
      <c r="P51" t="e">
        <f>TVの計算!#REF!</f>
        <v>#REF!</v>
      </c>
      <c r="Q51">
        <v>0</v>
      </c>
      <c r="R51">
        <v>1</v>
      </c>
      <c r="W51">
        <f>MAX(Q51:U51)</f>
        <v>1</v>
      </c>
    </row>
    <row r="52" spans="16:23" ht="13.5">
      <c r="P52" t="e">
        <f>TVの計算!#REF!</f>
        <v>#REF!</v>
      </c>
      <c r="Q52">
        <v>0</v>
      </c>
      <c r="R52">
        <v>1</v>
      </c>
      <c r="W52">
        <f>MAX(Q52:U52)</f>
        <v>1</v>
      </c>
    </row>
    <row r="53" spans="16:18" ht="13.5">
      <c r="P53" t="e">
        <f>TVの計算!#REF!</f>
        <v>#REF!</v>
      </c>
      <c r="Q53">
        <v>0</v>
      </c>
      <c r="R53">
        <v>1</v>
      </c>
    </row>
    <row r="54" spans="16:18" ht="13.5">
      <c r="P54" t="e">
        <f>TVの計算!#REF!</f>
        <v>#REF!</v>
      </c>
      <c r="Q54">
        <v>0</v>
      </c>
      <c r="R54">
        <v>1</v>
      </c>
    </row>
    <row r="55" ht="13.5">
      <c r="X55">
        <f>SUM(W50:W54)</f>
        <v>3</v>
      </c>
    </row>
    <row r="56" spans="15:23" ht="13.5">
      <c r="O56" t="s">
        <v>2</v>
      </c>
      <c r="P56" t="str">
        <f>'TVの計算'!F4</f>
        <v>ネットワークのセキュリティ状況（ISC）</v>
      </c>
      <c r="Q56">
        <v>0</v>
      </c>
      <c r="R56">
        <v>1</v>
      </c>
      <c r="S56">
        <v>2</v>
      </c>
      <c r="W56">
        <f>MAX(Q56:U56)</f>
        <v>2</v>
      </c>
    </row>
    <row r="57" spans="16:23" ht="13.5">
      <c r="P57" t="str">
        <f>'TVの計算'!F5</f>
        <v>ネットワークのトラフィック状況（ITR）</v>
      </c>
      <c r="Q57">
        <v>0</v>
      </c>
      <c r="R57">
        <v>1</v>
      </c>
      <c r="S57">
        <v>2</v>
      </c>
      <c r="W57">
        <f>MAX(Q57:U57)</f>
        <v>2</v>
      </c>
    </row>
    <row r="58" spans="16:23" ht="13.5">
      <c r="P58" t="str">
        <f>'TVの計算'!F6</f>
        <v>世の中の一般的安全状況（DHS）</v>
      </c>
      <c r="Q58">
        <v>0</v>
      </c>
      <c r="R58">
        <v>1</v>
      </c>
      <c r="S58">
        <v>2</v>
      </c>
      <c r="T58">
        <v>3</v>
      </c>
      <c r="U58">
        <v>4</v>
      </c>
      <c r="W58">
        <f>MAX(Q58:U58)</f>
        <v>4</v>
      </c>
    </row>
    <row r="59" spans="16:18" ht="13.5">
      <c r="P59" t="e">
        <f>TVの計算!#REF!</f>
        <v>#REF!</v>
      </c>
      <c r="Q59">
        <v>0</v>
      </c>
      <c r="R59">
        <v>1</v>
      </c>
    </row>
    <row r="60" ht="13.5">
      <c r="X60">
        <f>SUM(W56:W58)</f>
        <v>8</v>
      </c>
    </row>
    <row r="61" spans="15:23" ht="13.5">
      <c r="O61" t="s">
        <v>3</v>
      </c>
      <c r="P61" t="str">
        <f>'TVの計算'!K4</f>
        <v>定期的なパッチ提供がない</v>
      </c>
      <c r="Q61">
        <v>0</v>
      </c>
      <c r="R61">
        <v>1</v>
      </c>
      <c r="W61">
        <f>MAX(Q61:U61)</f>
        <v>1</v>
      </c>
    </row>
    <row r="62" spans="16:23" ht="13.5">
      <c r="P62" t="str">
        <f>'TVの計算'!K5</f>
        <v>パッチ自動配布機能がない</v>
      </c>
      <c r="Q62">
        <v>0</v>
      </c>
      <c r="R62">
        <v>1</v>
      </c>
      <c r="W62">
        <f>MAX(Q62:U62)</f>
        <v>1</v>
      </c>
    </row>
    <row r="63" spans="16:23" ht="13.5">
      <c r="P63" t="str">
        <f>'TVの計算'!K6</f>
        <v>市場占有率</v>
      </c>
      <c r="Q63">
        <v>0</v>
      </c>
      <c r="R63">
        <v>1</v>
      </c>
      <c r="S63">
        <v>2</v>
      </c>
      <c r="T63">
        <v>3</v>
      </c>
      <c r="U63">
        <v>4</v>
      </c>
      <c r="W63">
        <f>MAX(Q63:U63)</f>
        <v>4</v>
      </c>
    </row>
    <row r="64" spans="16:23" ht="13.5">
      <c r="P64" t="e">
        <f>TVの計算!#REF!</f>
        <v>#REF!</v>
      </c>
      <c r="Q64">
        <v>0</v>
      </c>
      <c r="R64">
        <v>1</v>
      </c>
      <c r="W64">
        <f>MAX(Q64:U64)</f>
        <v>1</v>
      </c>
    </row>
    <row r="65" spans="16:18" ht="13.5">
      <c r="P65" t="e">
        <f>TVの計算!#REF!</f>
        <v>#REF!</v>
      </c>
      <c r="Q65">
        <v>0</v>
      </c>
      <c r="R65">
        <v>1</v>
      </c>
    </row>
    <row r="66" spans="16:18" ht="13.5">
      <c r="P66" t="e">
        <f>TVの計算!#REF!</f>
        <v>#REF!</v>
      </c>
      <c r="Q66">
        <v>0</v>
      </c>
      <c r="R66">
        <v>1</v>
      </c>
    </row>
    <row r="67" ht="13.5">
      <c r="X67">
        <f>SUM(W61:W66)</f>
        <v>7</v>
      </c>
    </row>
    <row r="68" spans="15:23" ht="13.5">
      <c r="O68" t="s">
        <v>6</v>
      </c>
      <c r="P68" t="str">
        <f>'TVの計算'!K11</f>
        <v>パッチが存在する</v>
      </c>
      <c r="Q68">
        <v>0</v>
      </c>
      <c r="R68">
        <v>1</v>
      </c>
      <c r="W68">
        <f>MAX(Q68:U68)</f>
        <v>1</v>
      </c>
    </row>
    <row r="69" spans="16:23" ht="13.5">
      <c r="P69" t="e">
        <f>TVの計算!#REF!</f>
        <v>#REF!</v>
      </c>
      <c r="Q69">
        <v>0</v>
      </c>
      <c r="R69">
        <v>1</v>
      </c>
      <c r="W69">
        <f>MAX(Q69:U69)</f>
        <v>1</v>
      </c>
    </row>
    <row r="70" spans="16:18" ht="13.5">
      <c r="P70" t="e">
        <f>TVの計算!#REF!</f>
        <v>#REF!</v>
      </c>
      <c r="Q70">
        <v>0</v>
      </c>
      <c r="R70">
        <v>1</v>
      </c>
    </row>
    <row r="71" spans="16:18" ht="13.5">
      <c r="P71" t="e">
        <f>TVの計算!#REF!</f>
        <v>#REF!</v>
      </c>
      <c r="Q71">
        <v>0</v>
      </c>
      <c r="R71">
        <v>1</v>
      </c>
    </row>
    <row r="72" ht="13.5">
      <c r="X72">
        <f>SUM(W68:W71)</f>
        <v>2</v>
      </c>
    </row>
    <row r="73" spans="15:23" ht="13.5">
      <c r="O73" t="s">
        <v>20</v>
      </c>
      <c r="P73" t="e">
        <f>TVの計算!#REF!</f>
        <v>#REF!</v>
      </c>
      <c r="Q73">
        <v>0</v>
      </c>
      <c r="R73">
        <v>1</v>
      </c>
      <c r="W73">
        <f>MAX(Q73:U73)</f>
        <v>1</v>
      </c>
    </row>
    <row r="74" spans="16:23" ht="13.5">
      <c r="P74" t="e">
        <f>TVの計算!#REF!</f>
        <v>#REF!</v>
      </c>
      <c r="Q74">
        <v>0</v>
      </c>
      <c r="R74">
        <v>1</v>
      </c>
      <c r="W74">
        <f>MAX(Q74:U74)</f>
        <v>1</v>
      </c>
    </row>
    <row r="75" spans="16:18" ht="13.5">
      <c r="P75" t="e">
        <f>TVの計算!#REF!</f>
        <v>#REF!</v>
      </c>
      <c r="Q75">
        <v>0</v>
      </c>
      <c r="R75">
        <v>1</v>
      </c>
    </row>
    <row r="76" spans="16:18" ht="13.5">
      <c r="P76" t="e">
        <f>TVの計算!#REF!</f>
        <v>#REF!</v>
      </c>
      <c r="Q76">
        <v>0</v>
      </c>
      <c r="R76">
        <v>1</v>
      </c>
    </row>
    <row r="77" ht="13.5">
      <c r="X77">
        <f>SUM(W73:W76)</f>
        <v>2</v>
      </c>
    </row>
  </sheetData>
  <mergeCells count="10">
    <mergeCell ref="H12:I12"/>
    <mergeCell ref="F10:F11"/>
    <mergeCell ref="G10:I11"/>
    <mergeCell ref="B9:B10"/>
    <mergeCell ref="B11:C11"/>
    <mergeCell ref="K11:L11"/>
    <mergeCell ref="B2:B3"/>
    <mergeCell ref="F2:F3"/>
    <mergeCell ref="K2:K3"/>
    <mergeCell ref="K9:K10"/>
  </mergeCells>
  <dataValidations count="9">
    <dataValidation type="list" allowBlank="1" showInputMessage="1" showErrorMessage="1" sqref="G5">
      <formula1>"0,1,2"</formula1>
    </dataValidation>
    <dataValidation type="list" allowBlank="1" showInputMessage="1" showErrorMessage="1" sqref="G6">
      <formula1>"0,1,2,3,4"</formula1>
    </dataValidation>
    <dataValidation type="list" allowBlank="1" showInputMessage="1" showErrorMessage="1" sqref="L4:L5 C5">
      <formula1>"0,1"</formula1>
    </dataValidation>
    <dataValidation type="list" allowBlank="1" showInputMessage="1" showErrorMessage="1" sqref="B11">
      <formula1>"人手,攻撃用ツール,ウイルス・ワーム"</formula1>
    </dataValidation>
    <dataValidation type="list" allowBlank="1" showInputMessage="1" showErrorMessage="1" sqref="C6">
      <formula1>"1"</formula1>
    </dataValidation>
    <dataValidation type="list" allowBlank="1" showInputMessage="1" showErrorMessage="1" sqref="K11:L11">
      <formula1>"存在しない,ワークアラウンドが存在する,パッチが存在する"</formula1>
    </dataValidation>
    <dataValidation type="list" allowBlank="1" showInputMessage="1" showErrorMessage="1" sqref="C4">
      <formula1>$Q$29:$R$29</formula1>
    </dataValidation>
    <dataValidation type="list" allowBlank="1" showInputMessage="1" showErrorMessage="1" sqref="L6">
      <formula1>$Q$63:$U$63</formula1>
    </dataValidation>
    <dataValidation type="list" allowBlank="1" showInputMessage="1" showErrorMessage="1" sqref="G4">
      <formula1>"0,1,2,3"</formula1>
    </dataValidation>
  </dataValidations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11.875" style="0" bestFit="1" customWidth="1"/>
    <col min="4" max="4" width="6.375" style="0" customWidth="1"/>
    <col min="5" max="5" width="7.125" style="0" bestFit="1" customWidth="1"/>
    <col min="6" max="6" width="2.50390625" style="0" bestFit="1" customWidth="1"/>
    <col min="7" max="7" width="8.50390625" style="0" customWidth="1"/>
    <col min="8" max="8" width="2.50390625" style="0" bestFit="1" customWidth="1"/>
    <col min="10" max="10" width="3.25390625" style="0" customWidth="1"/>
    <col min="11" max="11" width="8.875" style="0" bestFit="1" customWidth="1"/>
    <col min="12" max="12" width="3.125" style="0" customWidth="1"/>
    <col min="13" max="13" width="9.75390625" style="0" customWidth="1"/>
    <col min="14" max="14" width="3.125" style="0" customWidth="1"/>
    <col min="15" max="15" width="5.25390625" style="0" bestFit="1" customWidth="1"/>
    <col min="16" max="16" width="3.125" style="0" customWidth="1"/>
    <col min="18" max="18" width="3.00390625" style="0" customWidth="1"/>
    <col min="19" max="19" width="5.25390625" style="0" bestFit="1" customWidth="1"/>
    <col min="20" max="20" width="3.25390625" style="0" customWidth="1"/>
    <col min="21" max="21" width="5.25390625" style="0" bestFit="1" customWidth="1"/>
    <col min="22" max="22" width="2.875" style="0" bestFit="1" customWidth="1"/>
    <col min="24" max="24" width="11.875" style="1" bestFit="1" customWidth="1"/>
    <col min="25" max="25" width="11.625" style="0" customWidth="1"/>
    <col min="26" max="26" width="15.375" style="0" customWidth="1"/>
    <col min="28" max="28" width="9.50390625" style="0" customWidth="1"/>
    <col min="29" max="29" width="14.00390625" style="0" bestFit="1" customWidth="1"/>
    <col min="31" max="31" width="7.75390625" style="0" bestFit="1" customWidth="1"/>
    <col min="32" max="32" width="10.375" style="0" bestFit="1" customWidth="1"/>
    <col min="33" max="33" width="8.875" style="0" bestFit="1" customWidth="1"/>
    <col min="34" max="34" width="7.75390625" style="0" bestFit="1" customWidth="1"/>
    <col min="36" max="36" width="11.375" style="0" customWidth="1"/>
  </cols>
  <sheetData>
    <row r="2" spans="5:22" ht="13.5">
      <c r="E2" s="66" t="s">
        <v>19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34"/>
    </row>
    <row r="3" spans="3:38" ht="13.5">
      <c r="C3" s="2"/>
      <c r="D3" s="11" t="s">
        <v>8</v>
      </c>
      <c r="E3" s="29" t="s">
        <v>0</v>
      </c>
      <c r="F3" s="33"/>
      <c r="G3" s="30" t="s">
        <v>2</v>
      </c>
      <c r="H3" s="30"/>
      <c r="I3" s="32" t="s">
        <v>3</v>
      </c>
      <c r="J3" s="32"/>
      <c r="K3" s="32" t="s">
        <v>6</v>
      </c>
      <c r="L3" s="32"/>
      <c r="M3" s="29" t="s">
        <v>1</v>
      </c>
      <c r="N3" s="29"/>
      <c r="O3" s="31" t="s">
        <v>5</v>
      </c>
      <c r="P3" s="31"/>
      <c r="Q3" s="29" t="s">
        <v>4</v>
      </c>
      <c r="R3" s="29"/>
      <c r="S3" s="32" t="s">
        <v>20</v>
      </c>
      <c r="T3" s="32"/>
      <c r="U3" s="29" t="s">
        <v>7</v>
      </c>
      <c r="V3" s="29"/>
      <c r="X3" s="3"/>
      <c r="Y3" s="2" t="s">
        <v>9</v>
      </c>
      <c r="Z3" s="2" t="s">
        <v>10</v>
      </c>
      <c r="AC3" s="2"/>
      <c r="AD3" s="39" t="s">
        <v>2</v>
      </c>
      <c r="AE3" s="39" t="s">
        <v>5</v>
      </c>
      <c r="AF3" s="38" t="s">
        <v>3</v>
      </c>
      <c r="AG3" s="38" t="s">
        <v>34</v>
      </c>
      <c r="AH3" s="38" t="s">
        <v>20</v>
      </c>
      <c r="AI3" s="37" t="s">
        <v>0</v>
      </c>
      <c r="AJ3" s="37" t="s">
        <v>35</v>
      </c>
      <c r="AK3" s="37" t="s">
        <v>4</v>
      </c>
      <c r="AL3" s="37" t="s">
        <v>7</v>
      </c>
    </row>
    <row r="4" spans="3:38" ht="13.5">
      <c r="C4" s="2" t="s">
        <v>24</v>
      </c>
      <c r="D4" s="11"/>
      <c r="E4" s="21">
        <v>1</v>
      </c>
      <c r="F4" s="22" t="s">
        <v>25</v>
      </c>
      <c r="G4" s="22">
        <v>1</v>
      </c>
      <c r="H4" s="22" t="s">
        <v>25</v>
      </c>
      <c r="I4" s="21">
        <v>-1</v>
      </c>
      <c r="J4" s="21" t="s">
        <v>25</v>
      </c>
      <c r="K4" s="21">
        <v>-1</v>
      </c>
      <c r="L4" s="21" t="s">
        <v>25</v>
      </c>
      <c r="M4" s="21">
        <v>1</v>
      </c>
      <c r="N4" s="21" t="s">
        <v>25</v>
      </c>
      <c r="O4" s="21">
        <v>1</v>
      </c>
      <c r="P4" s="21" t="s">
        <v>25</v>
      </c>
      <c r="Q4" s="21">
        <v>1</v>
      </c>
      <c r="R4" s="21" t="s">
        <v>25</v>
      </c>
      <c r="S4" s="21">
        <v>-1</v>
      </c>
      <c r="T4" s="21" t="s">
        <v>25</v>
      </c>
      <c r="U4" s="21">
        <v>1</v>
      </c>
      <c r="V4" s="21" t="s">
        <v>25</v>
      </c>
      <c r="X4" s="3"/>
      <c r="Y4" s="2"/>
      <c r="Z4" s="2"/>
      <c r="AC4" s="37" t="s">
        <v>37</v>
      </c>
      <c r="AD4" s="2">
        <f>M6*Q9*U11*O13+Q6*U11*O13</f>
        <v>1.248</v>
      </c>
      <c r="AE4" s="2">
        <f>Q10*U11*O13</f>
        <v>0</v>
      </c>
      <c r="AF4" s="2">
        <f>M7*AJ4+Q7*AK4+K7*AG4</f>
        <v>2.2463999999999995</v>
      </c>
      <c r="AG4" s="2">
        <f>-M8*AJ4-Q8*AK4</f>
        <v>-1.248</v>
      </c>
      <c r="AH4" s="2">
        <v>0</v>
      </c>
      <c r="AI4" s="2">
        <f>I5*AF4+M5*AJ4+Q5*AK4+U5*AL4</f>
        <v>8.17536</v>
      </c>
      <c r="AJ4" s="2">
        <f>Q9*AK4</f>
        <v>0.96</v>
      </c>
      <c r="AK4" s="2">
        <f>U11*AL4</f>
        <v>0.8</v>
      </c>
      <c r="AL4" s="2">
        <f>O13</f>
        <v>1</v>
      </c>
    </row>
    <row r="5" spans="2:38" ht="13.5">
      <c r="B5" s="63" t="s">
        <v>18</v>
      </c>
      <c r="C5" s="24" t="s">
        <v>0</v>
      </c>
      <c r="D5" s="14">
        <f>'TVの計算'!C7</f>
        <v>1</v>
      </c>
      <c r="E5" s="15">
        <v>0</v>
      </c>
      <c r="F5" s="15">
        <v>0</v>
      </c>
      <c r="G5" s="15">
        <v>0</v>
      </c>
      <c r="H5" s="15">
        <v>0</v>
      </c>
      <c r="I5" s="18">
        <v>2.4</v>
      </c>
      <c r="J5" s="18">
        <v>-1</v>
      </c>
      <c r="K5" s="15">
        <v>0</v>
      </c>
      <c r="L5" s="15">
        <v>0</v>
      </c>
      <c r="M5" s="19">
        <v>2.4</v>
      </c>
      <c r="N5" s="19">
        <v>1</v>
      </c>
      <c r="O5" s="15">
        <v>0</v>
      </c>
      <c r="P5" s="15">
        <v>0</v>
      </c>
      <c r="Q5" s="19">
        <v>0.6</v>
      </c>
      <c r="R5" s="19">
        <v>1</v>
      </c>
      <c r="S5" s="23">
        <v>0</v>
      </c>
      <c r="T5" s="23">
        <v>0</v>
      </c>
      <c r="U5" s="43">
        <v>0</v>
      </c>
      <c r="V5" s="43">
        <v>1</v>
      </c>
      <c r="X5" s="3" t="s">
        <v>0</v>
      </c>
      <c r="Y5" s="2">
        <v>0</v>
      </c>
      <c r="Z5" s="2">
        <f>(Y5+D5)*'TVの計算'!C17</f>
        <v>1</v>
      </c>
      <c r="AC5" s="38" t="s">
        <v>38</v>
      </c>
      <c r="AD5" s="2">
        <v>0</v>
      </c>
      <c r="AE5" s="2">
        <v>0</v>
      </c>
      <c r="AF5" s="2">
        <f>K7*AG5</f>
        <v>0.48</v>
      </c>
      <c r="AG5" s="2">
        <f>S8*AH5</f>
        <v>0.4</v>
      </c>
      <c r="AH5" s="2">
        <f>O12</f>
        <v>1</v>
      </c>
      <c r="AI5" s="2">
        <f>I5*AF5</f>
        <v>1.152</v>
      </c>
      <c r="AJ5" s="2">
        <v>0</v>
      </c>
      <c r="AK5" s="2">
        <v>0</v>
      </c>
      <c r="AL5" s="2">
        <v>0</v>
      </c>
    </row>
    <row r="6" spans="2:38" ht="13.5">
      <c r="B6" s="64"/>
      <c r="C6" s="25" t="s">
        <v>2</v>
      </c>
      <c r="D6" s="14">
        <f>'TVの計算'!G7</f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20">
        <v>0.8</v>
      </c>
      <c r="N6" s="20">
        <v>1</v>
      </c>
      <c r="O6" s="15">
        <v>0</v>
      </c>
      <c r="P6" s="15">
        <v>0</v>
      </c>
      <c r="Q6" s="20">
        <v>0.6</v>
      </c>
      <c r="R6" s="20">
        <v>1</v>
      </c>
      <c r="S6" s="23">
        <v>0</v>
      </c>
      <c r="T6" s="23">
        <v>0</v>
      </c>
      <c r="U6" s="15">
        <v>0</v>
      </c>
      <c r="V6" s="15">
        <v>0</v>
      </c>
      <c r="X6" s="3" t="s">
        <v>2</v>
      </c>
      <c r="Y6" s="2">
        <v>0</v>
      </c>
      <c r="Z6" s="2">
        <f>(Y6+D6)*'TVの計算'!$C$18</f>
        <v>0</v>
      </c>
      <c r="AC6" s="34" t="s">
        <v>36</v>
      </c>
      <c r="AD6" s="2">
        <f>AD4-AD5</f>
        <v>1.248</v>
      </c>
      <c r="AE6" s="2">
        <f aca="true" t="shared" si="0" ref="AE6:AL6">AE4-AE5</f>
        <v>0</v>
      </c>
      <c r="AF6" s="2">
        <f t="shared" si="0"/>
        <v>1.7663999999999995</v>
      </c>
      <c r="AG6" s="2">
        <f>AG4-AG5</f>
        <v>-1.6480000000000001</v>
      </c>
      <c r="AH6" s="2">
        <f t="shared" si="0"/>
        <v>-1</v>
      </c>
      <c r="AI6" s="2">
        <f t="shared" si="0"/>
        <v>7.023359999999999</v>
      </c>
      <c r="AJ6" s="2">
        <f t="shared" si="0"/>
        <v>0.96</v>
      </c>
      <c r="AK6" s="2">
        <f t="shared" si="0"/>
        <v>0.8</v>
      </c>
      <c r="AL6" s="2">
        <f t="shared" si="0"/>
        <v>1</v>
      </c>
    </row>
    <row r="7" spans="2:26" ht="14.25" customHeight="1">
      <c r="B7" s="64"/>
      <c r="C7" s="26" t="s">
        <v>3</v>
      </c>
      <c r="D7" s="14">
        <f>'TVの計算'!L7</f>
        <v>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8">
        <v>1.2</v>
      </c>
      <c r="L7" s="18">
        <v>-1</v>
      </c>
      <c r="M7" s="19">
        <v>2.4</v>
      </c>
      <c r="N7" s="19">
        <v>1</v>
      </c>
      <c r="O7" s="15">
        <v>0</v>
      </c>
      <c r="P7" s="15">
        <v>0</v>
      </c>
      <c r="Q7" s="19">
        <v>1.8</v>
      </c>
      <c r="R7" s="19">
        <v>1</v>
      </c>
      <c r="S7" s="23">
        <v>0</v>
      </c>
      <c r="T7" s="23">
        <v>0</v>
      </c>
      <c r="U7" s="15">
        <v>0</v>
      </c>
      <c r="V7" s="15">
        <v>0</v>
      </c>
      <c r="X7" s="3" t="s">
        <v>3</v>
      </c>
      <c r="Y7" s="2">
        <f>$I$4*SUMPRODUCT($Z$5:$Z6,$I$5:$I6,$J$5:$J6)</f>
        <v>2.4</v>
      </c>
      <c r="Z7" s="2">
        <f>(Y7+D7)*'TVの計算'!$C$18</f>
        <v>6.4</v>
      </c>
    </row>
    <row r="8" spans="2:38" ht="13.5">
      <c r="B8" s="64"/>
      <c r="C8" s="26" t="s">
        <v>6</v>
      </c>
      <c r="D8" s="14">
        <f>'TVの計算'!L12</f>
        <v>4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8">
        <v>0.8</v>
      </c>
      <c r="N8" s="18">
        <v>-1</v>
      </c>
      <c r="O8" s="15">
        <v>0</v>
      </c>
      <c r="P8" s="15">
        <v>0</v>
      </c>
      <c r="Q8" s="18">
        <v>0.6</v>
      </c>
      <c r="R8" s="18">
        <v>-1</v>
      </c>
      <c r="S8" s="18">
        <v>0.4</v>
      </c>
      <c r="T8" s="18">
        <v>-1</v>
      </c>
      <c r="U8" s="15">
        <v>0</v>
      </c>
      <c r="V8" s="15">
        <v>0</v>
      </c>
      <c r="X8" s="3" t="s">
        <v>6</v>
      </c>
      <c r="Y8" s="2">
        <f>$K$4*SUMPRODUCT($Z$5:$Z7,$K$5:$K7,$L$5:$L7)</f>
        <v>7.68</v>
      </c>
      <c r="Z8" s="2">
        <f>(Y8+D8)*'TVの計算'!$C$18</f>
        <v>11.68</v>
      </c>
      <c r="AC8" s="40" t="s">
        <v>39</v>
      </c>
      <c r="AD8" s="2">
        <v>3</v>
      </c>
      <c r="AE8" s="2">
        <v>0</v>
      </c>
      <c r="AF8" s="2">
        <v>5</v>
      </c>
      <c r="AG8" s="2">
        <v>4</v>
      </c>
      <c r="AH8" s="2">
        <v>0</v>
      </c>
      <c r="AI8" s="2">
        <f>SUM('TVの計算'!D4:D6)</f>
        <v>5</v>
      </c>
      <c r="AJ8" s="2">
        <v>0</v>
      </c>
      <c r="AK8" s="2">
        <v>45</v>
      </c>
      <c r="AL8" s="2">
        <v>0</v>
      </c>
    </row>
    <row r="9" spans="2:38" ht="13.5">
      <c r="B9" s="64"/>
      <c r="C9" s="27" t="s">
        <v>1</v>
      </c>
      <c r="D9" s="14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9">
        <v>1.2</v>
      </c>
      <c r="R9" s="19">
        <v>1</v>
      </c>
      <c r="S9" s="23">
        <v>0</v>
      </c>
      <c r="T9" s="23">
        <v>0</v>
      </c>
      <c r="U9" s="15">
        <v>0</v>
      </c>
      <c r="V9" s="15">
        <v>0</v>
      </c>
      <c r="X9" s="3" t="s">
        <v>1</v>
      </c>
      <c r="Y9" s="2">
        <f>$M$4*SUMPRODUCT($Z$5:$Z8,$M$5:$M8,$N$5:$N8)</f>
        <v>8.415999999999999</v>
      </c>
      <c r="Z9" s="2">
        <f>(Y9+D9)*'TVの計算'!$C$18</f>
        <v>8.415999999999999</v>
      </c>
      <c r="AC9" s="40" t="s">
        <v>40</v>
      </c>
      <c r="AD9" s="2">
        <f>AD6*AD8</f>
        <v>3.7439999999999998</v>
      </c>
      <c r="AE9" s="2">
        <f aca="true" t="shared" si="1" ref="AE9:AL9">AE6*AE8</f>
        <v>0</v>
      </c>
      <c r="AF9" s="2">
        <f t="shared" si="1"/>
        <v>8.831999999999997</v>
      </c>
      <c r="AG9" s="2">
        <f t="shared" si="1"/>
        <v>-6.5920000000000005</v>
      </c>
      <c r="AH9" s="2">
        <f t="shared" si="1"/>
        <v>0</v>
      </c>
      <c r="AI9" s="2">
        <f t="shared" si="1"/>
        <v>35.1168</v>
      </c>
      <c r="AJ9" s="2">
        <f t="shared" si="1"/>
        <v>0</v>
      </c>
      <c r="AK9" s="2">
        <f t="shared" si="1"/>
        <v>36</v>
      </c>
      <c r="AL9" s="2">
        <f t="shared" si="1"/>
        <v>0</v>
      </c>
    </row>
    <row r="10" spans="2:38" ht="13.5">
      <c r="B10" s="64"/>
      <c r="C10" s="28" t="s">
        <v>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43">
        <v>0</v>
      </c>
      <c r="R10" s="43">
        <v>1</v>
      </c>
      <c r="S10" s="23">
        <v>0</v>
      </c>
      <c r="T10" s="23">
        <v>0</v>
      </c>
      <c r="U10" s="15">
        <v>0</v>
      </c>
      <c r="V10" s="15">
        <v>0</v>
      </c>
      <c r="X10" s="3" t="s">
        <v>5</v>
      </c>
      <c r="Y10" s="2">
        <f>$O$4*SUMPRODUCT($Z$5:$Z9,$O$5:$O9,$P$5:$P9)</f>
        <v>0</v>
      </c>
      <c r="Z10" s="2">
        <f>(Y10+D10)*'TVの計算'!$C$18</f>
        <v>0</v>
      </c>
      <c r="AB10" s="44" t="s">
        <v>47</v>
      </c>
      <c r="AC10" s="44" t="s">
        <v>46</v>
      </c>
      <c r="AD10" s="45">
        <f>AD9/AC14</f>
        <v>0.04146877436733537</v>
      </c>
      <c r="AE10" s="45">
        <f>AE9/AC14</f>
        <v>0</v>
      </c>
      <c r="AF10" s="45">
        <f>AF9/AC14</f>
        <v>0.09782377543063725</v>
      </c>
      <c r="AG10" s="45">
        <f>AG9/AC14</f>
        <v>-0.07301339760402638</v>
      </c>
      <c r="AH10" s="45">
        <f>AH9/AC14</f>
        <v>0</v>
      </c>
      <c r="AI10" s="45">
        <f>AI9/AC14</f>
        <v>0.38895583752746865</v>
      </c>
      <c r="AJ10" s="45">
        <f>AJ9/AC14</f>
        <v>0</v>
      </c>
      <c r="AK10" s="45">
        <f>AK9/AC14</f>
        <v>0.3987382150705324</v>
      </c>
      <c r="AL10" s="45">
        <f>AL9/AC14</f>
        <v>0</v>
      </c>
    </row>
    <row r="11" spans="2:38" ht="13.5">
      <c r="B11" s="64"/>
      <c r="C11" s="27" t="s">
        <v>4</v>
      </c>
      <c r="D11" s="14">
        <f>'TVの計算'!C12</f>
        <v>21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9">
        <v>0.8</v>
      </c>
      <c r="V11" s="19">
        <v>1</v>
      </c>
      <c r="X11" s="3" t="s">
        <v>4</v>
      </c>
      <c r="Y11" s="2">
        <f>$Q$4*SUMPRODUCT($Z$5:$Z10,$Q$5:$Q10,$R$5:$R10)</f>
        <v>15.211199999999998</v>
      </c>
      <c r="Z11" s="2">
        <f>(Y11+D11)*'TVの計算'!$C$18</f>
        <v>36.2112</v>
      </c>
      <c r="AD11" s="41"/>
      <c r="AE11" s="41"/>
      <c r="AF11" s="41"/>
      <c r="AG11" s="41"/>
      <c r="AH11" s="41"/>
      <c r="AI11" s="41"/>
      <c r="AJ11" s="41"/>
      <c r="AK11" s="41"/>
      <c r="AL11" s="41"/>
    </row>
    <row r="12" spans="2:29" ht="13.5">
      <c r="B12" s="64"/>
      <c r="C12" s="26" t="s">
        <v>20</v>
      </c>
      <c r="D12" s="14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8">
        <v>1</v>
      </c>
      <c r="P12" s="18">
        <v>-1</v>
      </c>
      <c r="Q12" s="15">
        <v>0</v>
      </c>
      <c r="R12" s="15">
        <v>0</v>
      </c>
      <c r="S12" s="15">
        <v>0</v>
      </c>
      <c r="T12" s="15">
        <v>0</v>
      </c>
      <c r="U12" s="23">
        <v>0</v>
      </c>
      <c r="V12" s="23">
        <v>0</v>
      </c>
      <c r="X12" s="3" t="s">
        <v>20</v>
      </c>
      <c r="Y12" s="2">
        <f>$S$4*SUMPRODUCT($Z$5:$Z11,$S$5:$S11,$T$5:$T11)</f>
        <v>4.672</v>
      </c>
      <c r="Z12" s="2">
        <f>(Y12+D12)*'TVの計算'!$C$19</f>
        <v>4.672</v>
      </c>
      <c r="AB12" t="s">
        <v>26</v>
      </c>
      <c r="AC12">
        <f>SUM(AD9:AL9)-AG9-AH9</f>
        <v>83.69279999999999</v>
      </c>
    </row>
    <row r="13" spans="2:29" ht="13.5">
      <c r="B13" s="65"/>
      <c r="C13" s="27" t="s">
        <v>7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9">
        <v>1</v>
      </c>
      <c r="P13" s="19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X13" s="3" t="s">
        <v>7</v>
      </c>
      <c r="Y13" s="2">
        <f>$U$4*SUMPRODUCT($Z$5:$Z12,$U$5:$U12,$V$5:$V12)</f>
        <v>28.96896</v>
      </c>
      <c r="Z13" s="2">
        <f>(Y13+D13)*'TVの計算'!$C$19</f>
        <v>28.96896</v>
      </c>
      <c r="AB13" t="s">
        <v>44</v>
      </c>
      <c r="AC13">
        <f>AG9+AH9</f>
        <v>-6.5920000000000005</v>
      </c>
    </row>
    <row r="14" spans="28:29" ht="13.5">
      <c r="AB14" t="s">
        <v>45</v>
      </c>
      <c r="AC14">
        <f>AC12-AC13</f>
        <v>90.28479999999999</v>
      </c>
    </row>
    <row r="15" spans="21:23" ht="13.5">
      <c r="U15" s="4"/>
      <c r="V15" s="4"/>
      <c r="W15" s="4"/>
    </row>
    <row r="16" spans="21:23" ht="13.5">
      <c r="U16" s="5" t="s">
        <v>13</v>
      </c>
      <c r="V16" s="5"/>
      <c r="W16" s="5">
        <f>Z13*O13-Z12*O12</f>
        <v>24.29696</v>
      </c>
    </row>
    <row r="17" spans="11:12" ht="13.5">
      <c r="K17" s="16"/>
      <c r="L17" s="16"/>
    </row>
    <row r="21" spans="9:10" ht="13.5">
      <c r="I21" s="17"/>
      <c r="J21" s="17"/>
    </row>
    <row r="33" ht="13.5"/>
  </sheetData>
  <mergeCells count="2">
    <mergeCell ref="B5:B13"/>
    <mergeCell ref="E2:U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Secom IS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KANAOKA</dc:creator>
  <cp:keywords/>
  <dc:description/>
  <cp:lastModifiedBy>Akira Kanaoka</cp:lastModifiedBy>
  <cp:lastPrinted>2007-02-26T10:10:28Z</cp:lastPrinted>
  <dcterms:created xsi:type="dcterms:W3CDTF">2005-10-24T08:43:39Z</dcterms:created>
  <dcterms:modified xsi:type="dcterms:W3CDTF">2007-04-05T10:31:16Z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989306439</vt:i4>
  </property>
  <property fmtid="{D5CDD505-2E9C-101B-9397-08002B2CF9AE}" pid="3" name="_EmailSubject">
    <vt:lpwstr>(jnsa-tech-vulnera 419) Re: 明日の WG の資料（ Excel ）です。</vt:lpwstr>
  </property>
  <property fmtid="{D5CDD505-2E9C-101B-9397-08002B2CF9AE}" pid="4" name="_AuthorEmail">
    <vt:lpwstr>a-kanaoka@secom.co.jp</vt:lpwstr>
  </property>
  <property fmtid="{D5CDD505-2E9C-101B-9397-08002B2CF9AE}" pid="5" name="_AuthorEmailDisplayName">
    <vt:lpwstr>金岡 晃</vt:lpwstr>
  </property>
  <property fmtid="{D5CDD505-2E9C-101B-9397-08002B2CF9AE}" pid="6" name="_ReviewingToolsShownOnce">
    <vt:lpwstr/>
  </property>
</Properties>
</file>